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BTU_Bjoern\DBU_Projekt_P-Modelle_D\CLOUD_DBU_Projekt_P-Modelle\LfU Fachbeitrag\cloud Fachbeitrag P-Modelle für LfU\Tabellen und Anlagen\"/>
    </mc:Choice>
  </mc:AlternateContent>
  <xr:revisionPtr revIDLastSave="0" documentId="13_ncr:1_{C380192F-18A0-4346-9524-75E2D548E224}" xr6:coauthVersionLast="36" xr6:coauthVersionMax="36" xr10:uidLastSave="{00000000-0000-0000-0000-000000000000}"/>
  <bookViews>
    <workbookView xWindow="0" yWindow="0" windowWidth="25200" windowHeight="11556" xr2:uid="{00000000-000D-0000-FFFF-FFFF00000000}"/>
  </bookViews>
  <sheets>
    <sheet name="Rechenbeispiel TBS Trophie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F8" i="1"/>
  <c r="E8" i="1"/>
  <c r="E16" i="1" s="1"/>
  <c r="E20" i="1" s="1"/>
  <c r="F18" i="1"/>
  <c r="F17" i="1"/>
  <c r="F29" i="1" s="1"/>
  <c r="F16" i="1"/>
  <c r="F20" i="1" s="1"/>
  <c r="E18" i="1"/>
  <c r="E17" i="1"/>
  <c r="E29" i="1" s="1"/>
  <c r="F19" i="1" l="1"/>
  <c r="F27" i="1"/>
  <c r="F28" i="1" s="1"/>
  <c r="E19" i="1"/>
  <c r="E26" i="1" s="1"/>
  <c r="E27" i="1"/>
  <c r="E28" i="1" s="1"/>
  <c r="F26" i="1"/>
  <c r="E30" i="1"/>
  <c r="E31" i="1" s="1"/>
  <c r="F30" i="1"/>
  <c r="F31" i="1" s="1"/>
  <c r="E24" i="1"/>
  <c r="E25" i="1" s="1"/>
  <c r="F24" i="1"/>
  <c r="F25" i="1" s="1"/>
</calcChain>
</file>

<file path=xl/sharedStrings.xml><?xml version="1.0" encoding="utf-8"?>
<sst xmlns="http://schemas.openxmlformats.org/spreadsheetml/2006/main" count="107" uniqueCount="77">
  <si>
    <t>Bärwalder See</t>
  </si>
  <si>
    <t>g/a</t>
  </si>
  <si>
    <t>a</t>
  </si>
  <si>
    <t>mol/mol</t>
  </si>
  <si>
    <t>µg/l</t>
  </si>
  <si>
    <t>Groß Glienicker See</t>
  </si>
  <si>
    <t>Volumen</t>
  </si>
  <si>
    <t>Einheit</t>
  </si>
  <si>
    <t>Zufluss</t>
  </si>
  <si>
    <r>
      <t>10</t>
    </r>
    <r>
      <rPr>
        <vertAlign val="super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m</t>
    </r>
    <r>
      <rPr>
        <vertAlign val="superscript"/>
        <sz val="11"/>
        <rFont val="Calibri"/>
        <family val="2"/>
        <scheme val="minor"/>
      </rPr>
      <t>3</t>
    </r>
  </si>
  <si>
    <r>
      <t>10</t>
    </r>
    <r>
      <rPr>
        <vertAlign val="super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/a</t>
    </r>
  </si>
  <si>
    <t>P-Eintrag</t>
  </si>
  <si>
    <t>kg/a</t>
  </si>
  <si>
    <t>Basisdaten</t>
  </si>
  <si>
    <t>s_P</t>
  </si>
  <si>
    <t>mg/g TS</t>
  </si>
  <si>
    <t>s_Fe</t>
  </si>
  <si>
    <t>Eingangsdaten (abgeleitet aus Basisdaten)</t>
  </si>
  <si>
    <t>Wasserverweilzeit</t>
  </si>
  <si>
    <t>V</t>
  </si>
  <si>
    <t>im Oberflächensediment ca. 0-4 cm</t>
  </si>
  <si>
    <t>Kommentar/Erläuterung</t>
  </si>
  <si>
    <t>P-Gehalt Sediment</t>
  </si>
  <si>
    <t>Fe-Gehalt Sediment</t>
  </si>
  <si>
    <t>s_Fe:P</t>
  </si>
  <si>
    <t>Fe:P-Verhältnis im Sediment</t>
  </si>
  <si>
    <t>P-Zulaufkonzentration</t>
  </si>
  <si>
    <t xml:space="preserve"> =(s_Fe/56)/(s_P/31)</t>
  </si>
  <si>
    <t>Vollenweider (1976)</t>
  </si>
  <si>
    <t>Berechnung der seeinternen TP-Konzentration (Psee) mittels empirischer Modelle:</t>
  </si>
  <si>
    <t>mmol/m³</t>
  </si>
  <si>
    <t>m</t>
  </si>
  <si>
    <t>k</t>
  </si>
  <si>
    <t>b</t>
  </si>
  <si>
    <t>c</t>
  </si>
  <si>
    <t>d</t>
  </si>
  <si>
    <t>s(X, k, m)</t>
  </si>
  <si>
    <t>-</t>
  </si>
  <si>
    <r>
      <t>P</t>
    </r>
    <r>
      <rPr>
        <vertAlign val="subscript"/>
        <sz val="11"/>
        <color theme="1"/>
        <rFont val="Calibri"/>
        <family val="2"/>
        <scheme val="minor"/>
      </rPr>
      <t>See</t>
    </r>
    <r>
      <rPr>
        <sz val="11"/>
        <color theme="1"/>
        <rFont val="Calibri"/>
        <family val="2"/>
        <scheme val="minor"/>
      </rPr>
      <t xml:space="preserve"> mod</t>
    </r>
  </si>
  <si>
    <t>seeinterne TP-Konz. modelliert</t>
  </si>
  <si>
    <r>
      <t>P</t>
    </r>
    <r>
      <rPr>
        <vertAlign val="subscript"/>
        <sz val="11"/>
        <color theme="1"/>
        <rFont val="Calibri"/>
        <family val="2"/>
        <scheme val="minor"/>
      </rPr>
      <t>See</t>
    </r>
    <r>
      <rPr>
        <sz val="11"/>
        <color theme="1"/>
        <rFont val="Calibri"/>
        <family val="2"/>
        <scheme val="minor"/>
      </rPr>
      <t xml:space="preserve"> </t>
    </r>
  </si>
  <si>
    <t>seeinterne TP-Konz. gemessen</t>
  </si>
  <si>
    <t>Abkürzung</t>
  </si>
  <si>
    <t>sigmoider Vorfaktor</t>
  </si>
  <si>
    <t>Term wird für alle Modelle benötigt</t>
  </si>
  <si>
    <t>auf Basis von Daten Stand 2010</t>
  </si>
  <si>
    <r>
      <t>mP</t>
    </r>
    <r>
      <rPr>
        <vertAlign val="subscript"/>
        <sz val="11"/>
        <color theme="1"/>
        <rFont val="Calibri"/>
        <family val="2"/>
        <scheme val="minor"/>
      </rPr>
      <t>in</t>
    </r>
  </si>
  <si>
    <r>
      <t>t</t>
    </r>
    <r>
      <rPr>
        <vertAlign val="subscript"/>
        <sz val="11"/>
        <color theme="1"/>
        <rFont val="Calibri"/>
        <family val="2"/>
        <scheme val="minor"/>
      </rPr>
      <t>R</t>
    </r>
  </si>
  <si>
    <r>
      <t>cP</t>
    </r>
    <r>
      <rPr>
        <vertAlign val="subscript"/>
        <sz val="11"/>
        <color theme="1"/>
        <rFont val="Calibri"/>
        <family val="2"/>
        <scheme val="minor"/>
      </rPr>
      <t>in</t>
    </r>
  </si>
  <si>
    <r>
      <t>Q</t>
    </r>
    <r>
      <rPr>
        <vertAlign val="subscript"/>
        <sz val="11"/>
        <color theme="1"/>
        <rFont val="Calibri"/>
        <family val="2"/>
        <scheme val="minor"/>
      </rPr>
      <t>in</t>
    </r>
  </si>
  <si>
    <t>Gl. 28 aus 
Grüneberg et al.  (2018)</t>
  </si>
  <si>
    <r>
      <t xml:space="preserve"> =Q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>/V</t>
    </r>
  </si>
  <si>
    <t>mol/m³</t>
  </si>
  <si>
    <t>m³</t>
  </si>
  <si>
    <t>m³/a</t>
  </si>
  <si>
    <r>
      <t xml:space="preserve"> =cP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>/(1+wurzel(t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</si>
  <si>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 =P</t>
    </r>
    <r>
      <rPr>
        <vertAlign val="subscript"/>
        <sz val="11"/>
        <color theme="1"/>
        <rFont val="Calibri"/>
        <family val="2"/>
        <scheme val="minor"/>
      </rPr>
      <t>See</t>
    </r>
    <r>
      <rPr>
        <sz val="11"/>
        <color theme="1"/>
        <rFont val="Calibri"/>
        <family val="2"/>
        <scheme val="minor"/>
      </rPr>
      <t xml:space="preserve"> mod (mmol/m³)*31</t>
    </r>
  </si>
  <si>
    <t>Parameter</t>
  </si>
  <si>
    <t>Summe TP-Eintrag aller Pfade</t>
  </si>
  <si>
    <t>hier nur informativ</t>
  </si>
  <si>
    <r>
      <t>1+wurzel(t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</si>
  <si>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 xml:space="preserve"> =mP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>/Q</t>
    </r>
    <r>
      <rPr>
        <vertAlign val="subscript"/>
        <sz val="11"/>
        <color theme="1"/>
        <rFont val="Calibri"/>
        <family val="2"/>
        <scheme val="minor"/>
      </rPr>
      <t>in</t>
    </r>
    <r>
      <rPr>
        <sz val="11"/>
        <color theme="1"/>
        <rFont val="Calibri"/>
        <family val="2"/>
        <scheme val="minor"/>
      </rPr>
      <t>/31</t>
    </r>
  </si>
  <si>
    <t>Anlage zum Abschlussbericht des Projekts: "Phosphor-Retentionsmodelle für pH-neutrale Tagebauseen"</t>
  </si>
  <si>
    <t>Gefördert durch die Deutsche Bundesstiftung Umwelt (Projektlaufzeit: 1.10.2019 – 31.7.2022)</t>
  </si>
  <si>
    <t>Rechenbeispiel zur Anwendung empirischer Trophiemodelle</t>
  </si>
  <si>
    <t>Dr. Björn Grüneberg</t>
  </si>
  <si>
    <t>Bjoern.Grueneberg@Landeslabor-bbb.de</t>
  </si>
  <si>
    <t>Bjoern.Grueneberg@B-TU.De</t>
  </si>
  <si>
    <t>Stand: 24.11.2022</t>
  </si>
  <si>
    <t xml:space="preserve"> =cPin (mol/m³)*31*1000</t>
  </si>
  <si>
    <t>Summe aller ober- und unterirdischen Zuflüsse</t>
  </si>
  <si>
    <t>Formel 8  (aktuelle Studie) Modell mit s_Fe:P</t>
  </si>
  <si>
    <t>Formel 9 (aktuelle Studie) Vollenweider-Mod. mit sigmoidem Vorfaktor</t>
  </si>
  <si>
    <t>Koeffizienten für Formel 8</t>
  </si>
  <si>
    <t>Koeffizienten für Formel 9</t>
  </si>
  <si>
    <t>nur in die gelb markierten Felder sind Daten einzugeben, alle anderen Zellen sind geschützt (ohne Passwort)</t>
  </si>
  <si>
    <t xml:space="preserve">Hinweis: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</si>
</sst>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5" borderId="6" xfId="0" applyFont="1" applyFill="1" applyBorder="1" applyProtection="1">
      <protection locked="0"/>
    </xf>
    <xf numFmtId="1" fontId="1" fillId="5" borderId="6" xfId="0" applyNumberFormat="1" applyFont="1" applyFill="1" applyBorder="1" applyProtection="1">
      <protection locked="0"/>
    </xf>
    <xf numFmtId="164" fontId="0" fillId="5" borderId="3" xfId="0" applyNumberFormat="1" applyFont="1" applyFill="1" applyBorder="1" applyAlignment="1" applyProtection="1">
      <alignment horizontal="right"/>
      <protection locked="0"/>
    </xf>
    <xf numFmtId="0" fontId="0" fillId="5" borderId="3" xfId="0" applyFill="1" applyBorder="1" applyAlignment="1" applyProtection="1">
      <alignment horizontal="right"/>
      <protection locked="0"/>
    </xf>
    <xf numFmtId="164" fontId="0" fillId="5" borderId="0" xfId="0" applyNumberFormat="1" applyFill="1" applyBorder="1" applyProtection="1">
      <protection locked="0"/>
    </xf>
    <xf numFmtId="0" fontId="0" fillId="5" borderId="0" xfId="0" applyFill="1" applyBorder="1" applyProtection="1">
      <protection locked="0"/>
    </xf>
    <xf numFmtId="2" fontId="1" fillId="5" borderId="0" xfId="0" applyNumberFormat="1" applyFont="1" applyFill="1" applyBorder="1" applyAlignment="1" applyProtection="1">
      <alignment horizontal="right"/>
      <protection locked="0"/>
    </xf>
    <xf numFmtId="164" fontId="1" fillId="5" borderId="0" xfId="0" applyNumberFormat="1" applyFont="1" applyFill="1" applyBorder="1" applyAlignment="1" applyProtection="1">
      <alignment horizontal="right"/>
      <protection locked="0"/>
    </xf>
    <xf numFmtId="164" fontId="1" fillId="5" borderId="6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1" fillId="2" borderId="11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wrapText="1"/>
    </xf>
    <xf numFmtId="0" fontId="0" fillId="0" borderId="3" xfId="0" applyFont="1" applyFill="1" applyBorder="1" applyProtection="1"/>
    <xf numFmtId="0" fontId="0" fillId="0" borderId="3" xfId="0" applyFont="1" applyFill="1" applyBorder="1" applyAlignment="1" applyProtection="1">
      <alignment horizontal="center"/>
    </xf>
    <xf numFmtId="0" fontId="0" fillId="0" borderId="4" xfId="0" applyFill="1" applyBorder="1" applyProtection="1"/>
    <xf numFmtId="0" fontId="0" fillId="0" borderId="6" xfId="0" applyFont="1" applyFill="1" applyBorder="1" applyProtection="1"/>
    <xf numFmtId="0" fontId="0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right"/>
    </xf>
    <xf numFmtId="0" fontId="0" fillId="0" borderId="7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right"/>
    </xf>
    <xf numFmtId="166" fontId="0" fillId="0" borderId="0" xfId="0" applyNumberFormat="1" applyFont="1" applyFill="1" applyBorder="1" applyAlignment="1" applyProtection="1">
      <alignment horizontal="right"/>
    </xf>
    <xf numFmtId="0" fontId="0" fillId="0" borderId="9" xfId="0" applyFill="1" applyBorder="1" applyProtection="1"/>
    <xf numFmtId="1" fontId="1" fillId="0" borderId="6" xfId="0" applyNumberFormat="1" applyFont="1" applyFill="1" applyBorder="1" applyAlignment="1" applyProtection="1">
      <alignment horizontal="right"/>
    </xf>
    <xf numFmtId="0" fontId="0" fillId="3" borderId="0" xfId="0" applyFill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0" fillId="4" borderId="1" xfId="0" applyFont="1" applyFill="1" applyBorder="1" applyProtection="1"/>
    <xf numFmtId="0" fontId="0" fillId="3" borderId="1" xfId="0" applyFill="1" applyBorder="1" applyProtection="1"/>
    <xf numFmtId="0" fontId="0" fillId="0" borderId="6" xfId="0" applyFill="1" applyBorder="1" applyProtection="1"/>
    <xf numFmtId="0" fontId="1" fillId="0" borderId="3" xfId="0" applyFont="1" applyFill="1" applyBorder="1" applyAlignment="1" applyProtection="1">
      <alignment horizontal="center"/>
    </xf>
    <xf numFmtId="2" fontId="1" fillId="0" borderId="3" xfId="0" applyNumberFormat="1" applyFont="1" applyFill="1" applyBorder="1" applyProtection="1"/>
    <xf numFmtId="164" fontId="1" fillId="0" borderId="3" xfId="0" applyNumberFormat="1" applyFont="1" applyFill="1" applyBorder="1" applyProtection="1"/>
    <xf numFmtId="0" fontId="0" fillId="0" borderId="4" xfId="0" applyFont="1" applyFill="1" applyBorder="1" applyProtection="1"/>
    <xf numFmtId="164" fontId="1" fillId="0" borderId="0" xfId="0" applyNumberFormat="1" applyFont="1" applyFill="1" applyBorder="1" applyProtection="1"/>
    <xf numFmtId="0" fontId="0" fillId="0" borderId="9" xfId="0" applyFont="1" applyFill="1" applyBorder="1" applyProtection="1"/>
    <xf numFmtId="165" fontId="1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</xf>
    <xf numFmtId="164" fontId="0" fillId="0" borderId="6" xfId="0" applyNumberFormat="1" applyFont="1" applyFill="1" applyBorder="1" applyProtection="1"/>
    <xf numFmtId="0" fontId="0" fillId="0" borderId="7" xfId="0" applyFont="1" applyFill="1" applyBorder="1" applyProtection="1"/>
    <xf numFmtId="0" fontId="0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164" fontId="0" fillId="0" borderId="0" xfId="0" applyNumberFormat="1" applyFont="1" applyFill="1" applyProtection="1"/>
    <xf numFmtId="0" fontId="6" fillId="0" borderId="0" xfId="0" applyFont="1" applyFill="1" applyProtection="1"/>
    <xf numFmtId="165" fontId="0" fillId="0" borderId="0" xfId="0" applyNumberFormat="1" applyFont="1" applyFill="1" applyProtection="1"/>
    <xf numFmtId="2" fontId="0" fillId="0" borderId="3" xfId="0" applyNumberFormat="1" applyFont="1" applyFill="1" applyBorder="1" applyProtection="1"/>
    <xf numFmtId="164" fontId="1" fillId="0" borderId="6" xfId="0" applyNumberFormat="1" applyFont="1" applyFill="1" applyBorder="1" applyProtection="1"/>
    <xf numFmtId="0" fontId="0" fillId="0" borderId="7" xfId="0" applyFont="1" applyFill="1" applyBorder="1" applyAlignment="1" applyProtection="1">
      <alignment horizontal="left"/>
    </xf>
    <xf numFmtId="0" fontId="0" fillId="0" borderId="10" xfId="0" applyFont="1" applyFill="1" applyBorder="1" applyAlignment="1" applyProtection="1">
      <alignment horizontal="left" vertical="top" wrapText="1"/>
    </xf>
    <xf numFmtId="0" fontId="0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164" fontId="1" fillId="0" borderId="11" xfId="0" applyNumberFormat="1" applyFont="1" applyBorder="1" applyAlignment="1" applyProtection="1">
      <alignment horizontal="right"/>
    </xf>
    <xf numFmtId="0" fontId="0" fillId="0" borderId="12" xfId="0" applyFill="1" applyBorder="1" applyProtection="1"/>
    <xf numFmtId="166" fontId="0" fillId="0" borderId="3" xfId="0" applyNumberFormat="1" applyFont="1" applyFill="1" applyBorder="1" applyProtection="1"/>
    <xf numFmtId="0" fontId="2" fillId="0" borderId="6" xfId="0" applyFont="1" applyFill="1" applyBorder="1" applyAlignment="1" applyProtection="1">
      <alignment horizontal="center"/>
    </xf>
    <xf numFmtId="164" fontId="2" fillId="0" borderId="6" xfId="0" applyNumberFormat="1" applyFont="1" applyFill="1" applyBorder="1" applyProtection="1"/>
    <xf numFmtId="0" fontId="0" fillId="0" borderId="3" xfId="0" applyFont="1" applyBorder="1" applyAlignment="1" applyProtection="1">
      <alignment horizontal="center" wrapText="1"/>
    </xf>
    <xf numFmtId="166" fontId="0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Fill="1" applyProtection="1">
      <protection locked="0"/>
    </xf>
    <xf numFmtId="0" fontId="1" fillId="3" borderId="0" xfId="0" applyFont="1" applyFill="1" applyProtection="1"/>
    <xf numFmtId="0" fontId="8" fillId="5" borderId="0" xfId="0" applyFont="1" applyFill="1" applyAlignment="1" applyProtection="1">
      <alignment horizontal="right"/>
    </xf>
    <xf numFmtId="0" fontId="0" fillId="5" borderId="0" xfId="0" applyFill="1" applyProtection="1"/>
    <xf numFmtId="0" fontId="0" fillId="5" borderId="0" xfId="0" applyFill="1" applyAlignment="1" applyProtection="1">
      <alignment horizontal="center"/>
    </xf>
    <xf numFmtId="0" fontId="0" fillId="5" borderId="0" xfId="0" applyFont="1" applyFill="1" applyAlignment="1" applyProtection="1">
      <alignment horizontal="center"/>
    </xf>
    <xf numFmtId="0" fontId="0" fillId="0" borderId="2" xfId="0" applyFont="1" applyFill="1" applyBorder="1" applyAlignment="1" applyProtection="1">
      <alignment horizontal="left" vertical="top" wrapText="1"/>
    </xf>
    <xf numFmtId="0" fontId="0" fillId="0" borderId="8" xfId="0" applyFont="1" applyFill="1" applyBorder="1" applyAlignment="1" applyProtection="1">
      <alignment horizontal="left" vertical="top" wrapText="1"/>
    </xf>
    <xf numFmtId="0" fontId="0" fillId="0" borderId="5" xfId="0" applyFont="1" applyFill="1" applyBorder="1" applyAlignment="1" applyProtection="1">
      <alignment horizontal="left" vertical="top" wrapText="1"/>
    </xf>
    <xf numFmtId="0" fontId="0" fillId="0" borderId="4" xfId="0" applyFill="1" applyBorder="1" applyAlignment="1" applyProtection="1">
      <alignment horizontal="left" wrapText="1"/>
    </xf>
    <xf numFmtId="0" fontId="0" fillId="0" borderId="7" xfId="0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B1" zoomScale="85" zoomScaleNormal="85" workbookViewId="0">
      <selection activeCell="L7" sqref="L7"/>
    </sheetView>
  </sheetViews>
  <sheetFormatPr baseColWidth="10" defaultColWidth="11.44140625" defaultRowHeight="14.4" x14ac:dyDescent="0.3"/>
  <cols>
    <col min="1" max="1" width="22.88671875" style="70" customWidth="1"/>
    <col min="2" max="2" width="29.6640625" style="70" customWidth="1"/>
    <col min="3" max="3" width="11.44140625" style="71"/>
    <col min="4" max="4" width="11.44140625" style="72"/>
    <col min="5" max="5" width="12.33203125" style="70" customWidth="1"/>
    <col min="6" max="6" width="14" style="70" customWidth="1"/>
    <col min="7" max="7" width="32.6640625" style="70" customWidth="1"/>
    <col min="8" max="8" width="7.88671875" style="70" customWidth="1"/>
    <col min="9" max="9" width="11.5546875" style="70" customWidth="1"/>
    <col min="10" max="10" width="12" style="70" customWidth="1"/>
    <col min="11" max="16384" width="11.44140625" style="70"/>
  </cols>
  <sheetData>
    <row r="1" spans="1:10" ht="18" x14ac:dyDescent="0.35">
      <c r="A1" s="69" t="s">
        <v>64</v>
      </c>
      <c r="G1" s="73" t="s">
        <v>65</v>
      </c>
    </row>
    <row r="2" spans="1:10" x14ac:dyDescent="0.3">
      <c r="A2" s="70" t="s">
        <v>62</v>
      </c>
      <c r="G2" s="74" t="s">
        <v>66</v>
      </c>
    </row>
    <row r="3" spans="1:10" x14ac:dyDescent="0.3">
      <c r="A3" s="70" t="s">
        <v>63</v>
      </c>
      <c r="G3" s="74" t="s">
        <v>67</v>
      </c>
    </row>
    <row r="4" spans="1:10" x14ac:dyDescent="0.3">
      <c r="A4" s="10" t="s">
        <v>68</v>
      </c>
      <c r="B4" s="10"/>
      <c r="C4" s="11"/>
      <c r="D4" s="12"/>
      <c r="E4" s="10"/>
      <c r="F4" s="10"/>
      <c r="G4" s="10"/>
      <c r="H4" s="10"/>
      <c r="I4" s="10"/>
      <c r="J4" s="10"/>
    </row>
    <row r="5" spans="1:10" x14ac:dyDescent="0.3">
      <c r="A5" s="78" t="s">
        <v>76</v>
      </c>
      <c r="B5" s="79" t="s">
        <v>75</v>
      </c>
      <c r="C5" s="80"/>
      <c r="D5" s="81"/>
      <c r="E5" s="79"/>
      <c r="F5" s="79"/>
      <c r="G5" s="79"/>
      <c r="H5" s="10"/>
      <c r="I5" s="10"/>
      <c r="J5" s="10"/>
    </row>
    <row r="6" spans="1:10" ht="28.8" x14ac:dyDescent="0.3">
      <c r="A6" s="13"/>
      <c r="B6" s="14" t="s">
        <v>57</v>
      </c>
      <c r="C6" s="15" t="s">
        <v>42</v>
      </c>
      <c r="D6" s="15" t="s">
        <v>7</v>
      </c>
      <c r="E6" s="16" t="s">
        <v>0</v>
      </c>
      <c r="F6" s="16" t="s">
        <v>5</v>
      </c>
      <c r="G6" s="17" t="s">
        <v>21</v>
      </c>
      <c r="H6" s="10"/>
      <c r="J6" s="10"/>
    </row>
    <row r="7" spans="1:10" ht="20.100000000000001" customHeight="1" x14ac:dyDescent="0.3">
      <c r="A7" s="87" t="s">
        <v>13</v>
      </c>
      <c r="B7" s="18" t="s">
        <v>6</v>
      </c>
      <c r="C7" s="19" t="s">
        <v>19</v>
      </c>
      <c r="D7" s="19" t="s">
        <v>9</v>
      </c>
      <c r="E7" s="3">
        <v>160.1</v>
      </c>
      <c r="F7" s="4">
        <v>4.53</v>
      </c>
      <c r="G7" s="20"/>
      <c r="H7" s="10"/>
      <c r="J7" s="10"/>
    </row>
    <row r="8" spans="1:10" ht="20.100000000000001" customHeight="1" x14ac:dyDescent="0.3">
      <c r="A8" s="88"/>
      <c r="B8" s="21"/>
      <c r="C8" s="22" t="s">
        <v>19</v>
      </c>
      <c r="D8" s="23" t="s">
        <v>53</v>
      </c>
      <c r="E8" s="24">
        <f>E7*1000000</f>
        <v>160100000</v>
      </c>
      <c r="F8" s="24">
        <f>F7*1000000</f>
        <v>4530000</v>
      </c>
      <c r="G8" s="25"/>
      <c r="H8" s="10"/>
      <c r="I8" s="10"/>
      <c r="J8" s="10"/>
    </row>
    <row r="9" spans="1:10" ht="20.100000000000001" customHeight="1" x14ac:dyDescent="0.35">
      <c r="A9" s="88"/>
      <c r="B9" s="26" t="s">
        <v>8</v>
      </c>
      <c r="C9" s="27" t="s">
        <v>49</v>
      </c>
      <c r="D9" s="27" t="s">
        <v>10</v>
      </c>
      <c r="E9" s="28">
        <f>E10/1000000</f>
        <v>44.9</v>
      </c>
      <c r="F9" s="29">
        <f>F10/1000000</f>
        <v>0.20590900000000001</v>
      </c>
      <c r="G9" s="85" t="s">
        <v>70</v>
      </c>
      <c r="H9" s="10"/>
      <c r="I9" s="10"/>
      <c r="J9" s="10"/>
    </row>
    <row r="10" spans="1:10" ht="20.100000000000001" customHeight="1" x14ac:dyDescent="0.35">
      <c r="A10" s="88"/>
      <c r="B10" s="21"/>
      <c r="C10" s="22" t="s">
        <v>49</v>
      </c>
      <c r="D10" s="23" t="s">
        <v>54</v>
      </c>
      <c r="E10" s="1">
        <v>44900000</v>
      </c>
      <c r="F10" s="2">
        <v>205909</v>
      </c>
      <c r="G10" s="86"/>
      <c r="H10" s="10"/>
      <c r="I10" s="10"/>
      <c r="J10" s="10"/>
    </row>
    <row r="11" spans="1:10" ht="20.100000000000001" customHeight="1" x14ac:dyDescent="0.35">
      <c r="A11" s="88"/>
      <c r="B11" s="26" t="s">
        <v>11</v>
      </c>
      <c r="C11" s="27" t="s">
        <v>46</v>
      </c>
      <c r="D11" s="27" t="s">
        <v>12</v>
      </c>
      <c r="E11" s="6">
        <v>5828</v>
      </c>
      <c r="F11" s="5">
        <v>56.9</v>
      </c>
      <c r="G11" s="30" t="s">
        <v>58</v>
      </c>
      <c r="H11" s="10"/>
      <c r="I11" s="10"/>
      <c r="J11" s="10"/>
    </row>
    <row r="12" spans="1:10" ht="20.100000000000001" customHeight="1" x14ac:dyDescent="0.35">
      <c r="A12" s="88"/>
      <c r="B12" s="21"/>
      <c r="C12" s="22" t="s">
        <v>46</v>
      </c>
      <c r="D12" s="23" t="s">
        <v>1</v>
      </c>
      <c r="E12" s="31">
        <v>5830000</v>
      </c>
      <c r="F12" s="31">
        <v>56900</v>
      </c>
      <c r="G12" s="30"/>
      <c r="H12" s="10"/>
      <c r="I12" s="10"/>
      <c r="J12" s="10"/>
    </row>
    <row r="13" spans="1:10" ht="20.100000000000001" customHeight="1" x14ac:dyDescent="0.35">
      <c r="A13" s="88"/>
      <c r="B13" s="26" t="s">
        <v>41</v>
      </c>
      <c r="C13" s="27" t="s">
        <v>40</v>
      </c>
      <c r="D13" s="27" t="s">
        <v>4</v>
      </c>
      <c r="E13" s="5">
        <v>9.6999999999999993</v>
      </c>
      <c r="F13" s="6">
        <v>22.700000000000003</v>
      </c>
      <c r="G13" s="20" t="s">
        <v>59</v>
      </c>
      <c r="H13" s="10"/>
      <c r="I13" s="77" t="s">
        <v>73</v>
      </c>
      <c r="J13" s="32"/>
    </row>
    <row r="14" spans="1:10" ht="20.100000000000001" customHeight="1" x14ac:dyDescent="0.3">
      <c r="A14" s="88"/>
      <c r="B14" s="33" t="s">
        <v>22</v>
      </c>
      <c r="C14" s="27" t="s">
        <v>14</v>
      </c>
      <c r="D14" s="34" t="s">
        <v>15</v>
      </c>
      <c r="E14" s="7">
        <v>0.85</v>
      </c>
      <c r="F14" s="8">
        <v>5.4</v>
      </c>
      <c r="G14" s="30" t="s">
        <v>20</v>
      </c>
      <c r="H14" s="10"/>
      <c r="I14" s="35" t="s">
        <v>2</v>
      </c>
      <c r="J14" s="36">
        <v>0.21</v>
      </c>
    </row>
    <row r="15" spans="1:10" ht="20.100000000000001" customHeight="1" x14ac:dyDescent="0.3">
      <c r="A15" s="89"/>
      <c r="B15" s="37" t="s">
        <v>23</v>
      </c>
      <c r="C15" s="22" t="s">
        <v>16</v>
      </c>
      <c r="D15" s="23" t="s">
        <v>15</v>
      </c>
      <c r="E15" s="9">
        <v>201</v>
      </c>
      <c r="F15" s="9">
        <v>59.7</v>
      </c>
      <c r="G15" s="25" t="s">
        <v>20</v>
      </c>
      <c r="H15" s="10"/>
      <c r="I15" s="35" t="s">
        <v>33</v>
      </c>
      <c r="J15" s="36">
        <v>0.71</v>
      </c>
    </row>
    <row r="16" spans="1:10" ht="20.100000000000001" customHeight="1" x14ac:dyDescent="0.35">
      <c r="A16" s="87" t="s">
        <v>17</v>
      </c>
      <c r="B16" s="18" t="s">
        <v>18</v>
      </c>
      <c r="C16" s="19" t="s">
        <v>47</v>
      </c>
      <c r="D16" s="38" t="s">
        <v>2</v>
      </c>
      <c r="E16" s="39">
        <f>E8/E10</f>
        <v>3.5657015590200447</v>
      </c>
      <c r="F16" s="40">
        <f>F8/F10</f>
        <v>22.000009713028572</v>
      </c>
      <c r="G16" s="41" t="s">
        <v>51</v>
      </c>
      <c r="H16" s="10"/>
      <c r="I16" s="35" t="s">
        <v>34</v>
      </c>
      <c r="J16" s="36">
        <v>0.59</v>
      </c>
    </row>
    <row r="17" spans="1:10" ht="20.100000000000001" customHeight="1" x14ac:dyDescent="0.3">
      <c r="A17" s="88"/>
      <c r="B17" s="26" t="s">
        <v>25</v>
      </c>
      <c r="C17" s="27" t="s">
        <v>24</v>
      </c>
      <c r="D17" s="34" t="s">
        <v>3</v>
      </c>
      <c r="E17" s="42">
        <f>(E15/56)/(E14/31)</f>
        <v>130.90336134453781</v>
      </c>
      <c r="F17" s="42">
        <f>(F15/56)/(F14/31)</f>
        <v>6.1200396825396828</v>
      </c>
      <c r="G17" s="43" t="s">
        <v>27</v>
      </c>
      <c r="H17" s="10"/>
      <c r="I17" s="35" t="s">
        <v>35</v>
      </c>
      <c r="J17" s="36">
        <v>0.42</v>
      </c>
    </row>
    <row r="18" spans="1:10" ht="20.100000000000001" customHeight="1" x14ac:dyDescent="0.35">
      <c r="A18" s="88"/>
      <c r="B18" s="26" t="s">
        <v>26</v>
      </c>
      <c r="C18" s="27" t="s">
        <v>48</v>
      </c>
      <c r="D18" s="34" t="s">
        <v>52</v>
      </c>
      <c r="E18" s="44">
        <f>E12/E10/31</f>
        <v>4.1885192901788921E-3</v>
      </c>
      <c r="F18" s="44">
        <f>F12/F10/31</f>
        <v>8.9140536400436204E-3</v>
      </c>
      <c r="G18" s="43" t="s">
        <v>61</v>
      </c>
      <c r="H18" s="10"/>
      <c r="I18" s="77" t="s">
        <v>74</v>
      </c>
      <c r="J18" s="32"/>
    </row>
    <row r="19" spans="1:10" ht="20.100000000000001" customHeight="1" x14ac:dyDescent="0.35">
      <c r="A19" s="88"/>
      <c r="B19" s="26"/>
      <c r="C19" s="27" t="s">
        <v>48</v>
      </c>
      <c r="D19" s="27" t="s">
        <v>4</v>
      </c>
      <c r="E19" s="45">
        <f>E18*31*1000</f>
        <v>129.84409799554567</v>
      </c>
      <c r="F19" s="45">
        <f>F18*31*1000</f>
        <v>276.33566284135225</v>
      </c>
      <c r="G19" s="43" t="s">
        <v>69</v>
      </c>
      <c r="H19" s="10"/>
      <c r="I19" s="36" t="s">
        <v>31</v>
      </c>
      <c r="J19" s="36">
        <v>41</v>
      </c>
    </row>
    <row r="20" spans="1:10" ht="20.100000000000001" customHeight="1" x14ac:dyDescent="0.35">
      <c r="A20" s="89"/>
      <c r="B20" s="46" t="s">
        <v>60</v>
      </c>
      <c r="C20" s="47" t="s">
        <v>37</v>
      </c>
      <c r="D20" s="23" t="s">
        <v>37</v>
      </c>
      <c r="E20" s="48">
        <f>1+SQRT(E16)</f>
        <v>2.8883065320598891</v>
      </c>
      <c r="F20" s="48">
        <f>1+SQRT(F16)</f>
        <v>5.6904167952356399</v>
      </c>
      <c r="G20" s="49" t="s">
        <v>44</v>
      </c>
      <c r="H20" s="10"/>
      <c r="I20" s="36" t="s">
        <v>32</v>
      </c>
      <c r="J20" s="36">
        <v>0.04</v>
      </c>
    </row>
    <row r="21" spans="1:10" ht="9" customHeight="1" x14ac:dyDescent="0.3">
      <c r="A21" s="50"/>
      <c r="B21" s="50"/>
      <c r="C21" s="12"/>
      <c r="D21" s="51"/>
      <c r="E21" s="52"/>
      <c r="F21" s="52"/>
      <c r="G21" s="50"/>
      <c r="H21" s="10"/>
      <c r="I21" s="10"/>
      <c r="J21" s="10"/>
    </row>
    <row r="22" spans="1:10" ht="15.6" x14ac:dyDescent="0.3">
      <c r="A22" s="53" t="s">
        <v>29</v>
      </c>
      <c r="B22" s="50"/>
      <c r="C22" s="12"/>
      <c r="D22" s="12"/>
      <c r="E22" s="54"/>
      <c r="F22" s="54"/>
      <c r="G22" s="50"/>
      <c r="H22" s="10"/>
      <c r="I22" s="10"/>
      <c r="J22" s="10"/>
    </row>
    <row r="23" spans="1:10" ht="3" customHeight="1" x14ac:dyDescent="0.3">
      <c r="A23" s="53"/>
      <c r="B23" s="50"/>
      <c r="C23" s="12"/>
      <c r="D23" s="12"/>
      <c r="E23" s="54"/>
      <c r="F23" s="54"/>
      <c r="G23" s="50"/>
      <c r="H23" s="10"/>
      <c r="I23" s="10"/>
      <c r="J23" s="10"/>
    </row>
    <row r="24" spans="1:10" ht="20.100000000000001" customHeight="1" x14ac:dyDescent="0.35">
      <c r="A24" s="82" t="s">
        <v>28</v>
      </c>
      <c r="B24" s="18" t="s">
        <v>39</v>
      </c>
      <c r="C24" s="19" t="s">
        <v>38</v>
      </c>
      <c r="D24" s="19" t="s">
        <v>30</v>
      </c>
      <c r="E24" s="55">
        <f>E18/(1+SQRT(E16))*1000</f>
        <v>1.4501643934557438</v>
      </c>
      <c r="F24" s="55">
        <f>F18/(1+SQRT(F16))*1000</f>
        <v>1.566502764350584</v>
      </c>
      <c r="G24" s="41" t="s">
        <v>55</v>
      </c>
      <c r="H24" s="10"/>
      <c r="I24" s="10"/>
      <c r="J24" s="10"/>
    </row>
    <row r="25" spans="1:10" ht="20.100000000000001" customHeight="1" x14ac:dyDescent="0.35">
      <c r="A25" s="84"/>
      <c r="B25" s="21" t="s">
        <v>39</v>
      </c>
      <c r="C25" s="22" t="s">
        <v>38</v>
      </c>
      <c r="D25" s="23" t="s">
        <v>4</v>
      </c>
      <c r="E25" s="56">
        <f>E24*31</f>
        <v>44.955096197128057</v>
      </c>
      <c r="F25" s="48">
        <f>F24*31</f>
        <v>48.561585694868107</v>
      </c>
      <c r="G25" s="57" t="s">
        <v>56</v>
      </c>
      <c r="H25" s="10"/>
      <c r="I25" s="10"/>
      <c r="J25" s="10"/>
    </row>
    <row r="26" spans="1:10" ht="28.8" x14ac:dyDescent="0.35">
      <c r="A26" s="58" t="s">
        <v>50</v>
      </c>
      <c r="B26" s="21" t="s">
        <v>39</v>
      </c>
      <c r="C26" s="59" t="s">
        <v>38</v>
      </c>
      <c r="D26" s="60" t="s">
        <v>4</v>
      </c>
      <c r="E26" s="61">
        <f>9.93*E19^0.88/((E20^1.13)*E17^0.67)</f>
        <v>8.2770742758541207</v>
      </c>
      <c r="F26" s="61">
        <f>9.93*F19^0.88/((F20^1.13)*F17^0.67)</f>
        <v>58.207052221000893</v>
      </c>
      <c r="G26" s="62" t="s">
        <v>45</v>
      </c>
      <c r="H26" s="10"/>
      <c r="I26" s="10"/>
      <c r="J26" s="10"/>
    </row>
    <row r="27" spans="1:10" ht="20.100000000000001" customHeight="1" x14ac:dyDescent="0.35">
      <c r="A27" s="82" t="s">
        <v>71</v>
      </c>
      <c r="B27" s="18" t="s">
        <v>39</v>
      </c>
      <c r="C27" s="19" t="s">
        <v>38</v>
      </c>
      <c r="D27" s="19" t="s">
        <v>30</v>
      </c>
      <c r="E27" s="63">
        <f>$J$14 * E18^$J$15 / ( (1 + SQRT(E16))^$J$16 * E17^$J$17)*1000</f>
        <v>0.29715523924876647</v>
      </c>
      <c r="F27" s="55">
        <f>$J$14 * F18^$J$15 / ( (1 + SQRT(F16))^$J$16 * F17^$J$17)*1000</f>
        <v>1.2325397420959658</v>
      </c>
      <c r="G27" s="20"/>
      <c r="H27" s="10"/>
      <c r="I27" s="10"/>
      <c r="J27" s="10"/>
    </row>
    <row r="28" spans="1:10" ht="20.100000000000001" customHeight="1" x14ac:dyDescent="0.35">
      <c r="A28" s="84"/>
      <c r="B28" s="21" t="s">
        <v>39</v>
      </c>
      <c r="C28" s="22" t="s">
        <v>38</v>
      </c>
      <c r="D28" s="64" t="s">
        <v>4</v>
      </c>
      <c r="E28" s="65">
        <f>E27*31</f>
        <v>9.2118124167117603</v>
      </c>
      <c r="F28" s="65">
        <f>F27*31</f>
        <v>38.208732004974941</v>
      </c>
      <c r="G28" s="57" t="s">
        <v>56</v>
      </c>
      <c r="H28" s="10"/>
      <c r="I28" s="10"/>
      <c r="J28" s="10"/>
    </row>
    <row r="29" spans="1:10" ht="20.100000000000001" customHeight="1" x14ac:dyDescent="0.3">
      <c r="A29" s="82" t="s">
        <v>72</v>
      </c>
      <c r="B29" s="18" t="s">
        <v>43</v>
      </c>
      <c r="C29" s="66" t="s">
        <v>36</v>
      </c>
      <c r="D29" s="38" t="s">
        <v>37</v>
      </c>
      <c r="E29" s="63">
        <f>1/(1+EXP($J$19*($J$20-(1/E17))))</f>
        <v>0.20969052645007513</v>
      </c>
      <c r="F29" s="63">
        <f>1/(1+EXP($J$19*($J$20-(1/F17))))</f>
        <v>0.99369008374534684</v>
      </c>
      <c r="G29" s="20"/>
      <c r="H29" s="10"/>
      <c r="I29" s="10"/>
      <c r="J29" s="10"/>
    </row>
    <row r="30" spans="1:10" ht="20.100000000000001" customHeight="1" x14ac:dyDescent="0.35">
      <c r="A30" s="83"/>
      <c r="B30" s="26" t="s">
        <v>39</v>
      </c>
      <c r="C30" s="27" t="s">
        <v>38</v>
      </c>
      <c r="D30" s="27" t="s">
        <v>30</v>
      </c>
      <c r="E30" s="67">
        <f>1/(1+EXP($J$19*($J$20 - 1/E17))) * E18 / (1 + SQRT(E16))*1000</f>
        <v>0.30408573510288883</v>
      </c>
      <c r="F30" s="68">
        <f>1/(1+EXP($J$19*($J$20 - 1/F17))) * F18 / (1 + SQRT(F16))*1000</f>
        <v>1.5566182630948491</v>
      </c>
      <c r="G30" s="30"/>
      <c r="H30" s="10"/>
      <c r="I30" s="10"/>
      <c r="J30" s="10"/>
    </row>
    <row r="31" spans="1:10" ht="20.100000000000001" customHeight="1" x14ac:dyDescent="0.35">
      <c r="A31" s="84"/>
      <c r="B31" s="21" t="s">
        <v>39</v>
      </c>
      <c r="C31" s="22" t="s">
        <v>38</v>
      </c>
      <c r="D31" s="64" t="s">
        <v>4</v>
      </c>
      <c r="E31" s="65">
        <f>E30*31</f>
        <v>9.4266577881895532</v>
      </c>
      <c r="F31" s="65">
        <f>F30*31</f>
        <v>48.255166155940323</v>
      </c>
      <c r="G31" s="57" t="s">
        <v>56</v>
      </c>
      <c r="H31" s="10"/>
      <c r="I31" s="10"/>
      <c r="J31" s="10"/>
    </row>
    <row r="32" spans="1:10" x14ac:dyDescent="0.3">
      <c r="A32" s="76"/>
      <c r="C32" s="72"/>
      <c r="D32" s="71"/>
    </row>
    <row r="34" spans="1:1" x14ac:dyDescent="0.3">
      <c r="A34" s="75"/>
    </row>
  </sheetData>
  <sheetProtection sheet="1" objects="1" scenarios="1"/>
  <mergeCells count="6">
    <mergeCell ref="A29:A31"/>
    <mergeCell ref="G9:G10"/>
    <mergeCell ref="A16:A20"/>
    <mergeCell ref="A7:A15"/>
    <mergeCell ref="A24:A25"/>
    <mergeCell ref="A27:A28"/>
  </mergeCells>
  <pageMargins left="0.7" right="0.7" top="0.78740157499999996" bottom="0.78740157499999996" header="0.3" footer="0.3"/>
  <pageSetup paperSize="9" scale="90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Rechenbeispiel TBS Trophie</vt:lpstr>
    </vt:vector>
  </TitlesOfParts>
  <Company>Landeslabor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Grüneberg, Björn</dc:creator>
  <cp:lastModifiedBy>Björn Grüneberg</cp:lastModifiedBy>
  <cp:lastPrinted>2022-11-24T10:12:13Z</cp:lastPrinted>
  <dcterms:created xsi:type="dcterms:W3CDTF">2022-11-22T14:06:03Z</dcterms:created>
  <dcterms:modified xsi:type="dcterms:W3CDTF">2025-06-06T07:30:21Z</dcterms:modified>
</cp:coreProperties>
</file>